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2. INFORMES TRIMESTRALES\4TO TRIMESTRE\CONAC\"/>
    </mc:Choice>
  </mc:AlternateContent>
  <xr:revisionPtr revIDLastSave="0" documentId="13_ncr:1_{1C36220F-41D9-47E0-BA8C-D503A8CF8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" sheetId="2" r:id="rId1"/>
  </sheets>
  <definedNames>
    <definedName name="_xlnm.Print_Area" localSheetId="0">'CUADRO '!$A$1:$F$87</definedName>
    <definedName name="_xlnm.Print_Titles" localSheetId="0">'CUADRO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C23" i="2" l="1"/>
  <c r="E85" i="2"/>
  <c r="E84" i="2"/>
  <c r="C84" i="2"/>
  <c r="E82" i="2"/>
  <c r="E81" i="2"/>
  <c r="C81" i="2"/>
  <c r="E80" i="2"/>
  <c r="E79" i="2"/>
  <c r="C79" i="2"/>
  <c r="E78" i="2"/>
  <c r="C78" i="2"/>
  <c r="E77" i="2"/>
  <c r="C77" i="2"/>
  <c r="E76" i="2"/>
  <c r="C74" i="2"/>
  <c r="E73" i="2"/>
  <c r="C73" i="2"/>
  <c r="E72" i="2"/>
  <c r="E71" i="2"/>
  <c r="E70" i="2"/>
  <c r="E69" i="2"/>
  <c r="C69" i="2"/>
  <c r="E68" i="2"/>
  <c r="E67" i="2"/>
  <c r="E66" i="2"/>
  <c r="E65" i="2"/>
  <c r="C65" i="2"/>
  <c r="E64" i="2"/>
  <c r="E63" i="2"/>
  <c r="C62" i="2"/>
  <c r="D61" i="2"/>
  <c r="E60" i="2"/>
  <c r="E59" i="2"/>
  <c r="D59" i="2"/>
  <c r="C59" i="2"/>
  <c r="E58" i="2"/>
  <c r="E56" i="2"/>
  <c r="E54" i="2"/>
  <c r="E53" i="2"/>
  <c r="E52" i="2"/>
  <c r="C52" i="2"/>
  <c r="E51" i="2"/>
  <c r="C51" i="2"/>
  <c r="C50" i="2"/>
  <c r="E49" i="2"/>
  <c r="C48" i="2"/>
  <c r="C47" i="2"/>
  <c r="C46" i="2"/>
  <c r="E45" i="2"/>
  <c r="C45" i="2"/>
  <c r="C44" i="2"/>
  <c r="C43" i="2"/>
  <c r="E42" i="2"/>
  <c r="C42" i="2"/>
  <c r="E41" i="2"/>
  <c r="E40" i="2"/>
  <c r="C39" i="2"/>
  <c r="E38" i="2"/>
  <c r="C37" i="2"/>
  <c r="C33" i="2"/>
  <c r="E33" i="2"/>
  <c r="C32" i="2"/>
  <c r="E31" i="2"/>
  <c r="C31" i="2"/>
  <c r="E30" i="2"/>
  <c r="E29" i="2"/>
  <c r="E28" i="2"/>
  <c r="C28" i="2"/>
  <c r="C27" i="2"/>
  <c r="E27" i="2"/>
  <c r="E26" i="2"/>
  <c r="E25" i="2"/>
  <c r="E24" i="2"/>
  <c r="D24" i="2"/>
  <c r="C24" i="2"/>
  <c r="E23" i="2"/>
  <c r="C22" i="2"/>
  <c r="E21" i="2"/>
  <c r="C21" i="2"/>
  <c r="E20" i="2"/>
  <c r="C20" i="2"/>
  <c r="E19" i="2"/>
  <c r="C19" i="2"/>
  <c r="C18" i="2"/>
  <c r="E17" i="2"/>
  <c r="C17" i="2"/>
  <c r="E16" i="2"/>
  <c r="E15" i="2"/>
  <c r="C15" i="2"/>
  <c r="E14" i="2"/>
  <c r="C14" i="2"/>
  <c r="E13" i="2"/>
  <c r="C12" i="2"/>
  <c r="E12" i="2"/>
  <c r="E11" i="2"/>
  <c r="C11" i="2"/>
  <c r="E10" i="2"/>
  <c r="C10" i="2"/>
  <c r="E9" i="2"/>
  <c r="C9" i="2"/>
  <c r="E8" i="2"/>
  <c r="C8" i="2"/>
  <c r="C85" i="2" l="1"/>
  <c r="C58" i="2" l="1"/>
  <c r="C54" i="2"/>
  <c r="C53" i="2"/>
  <c r="C41" i="2" l="1"/>
  <c r="C16" i="2"/>
  <c r="C86" i="2" l="1"/>
  <c r="C70" i="2"/>
  <c r="C25" i="2"/>
  <c r="F84" i="2" l="1"/>
  <c r="F85" i="2"/>
  <c r="F83" i="2" l="1"/>
  <c r="F82" i="2" l="1"/>
  <c r="F80" i="2"/>
  <c r="D87" i="2" l="1"/>
  <c r="F81" i="2" l="1"/>
  <c r="C87" i="2" l="1"/>
  <c r="E87" i="2" l="1"/>
  <c r="F79" i="2"/>
  <c r="F78" i="2"/>
  <c r="F18" i="2" l="1"/>
  <c r="F17" i="2"/>
  <c r="F77" i="2" l="1"/>
  <c r="B87" i="2"/>
  <c r="F76" i="2" l="1"/>
  <c r="F73" i="2"/>
  <c r="F72" i="2"/>
  <c r="F71" i="2"/>
  <c r="F70" i="2"/>
  <c r="F69" i="2"/>
  <c r="F67" i="2"/>
  <c r="F66" i="2"/>
  <c r="F65" i="2"/>
  <c r="F64" i="2"/>
  <c r="F63" i="2"/>
  <c r="F60" i="2"/>
  <c r="F58" i="2"/>
  <c r="F56" i="2"/>
  <c r="F54" i="2"/>
  <c r="F53" i="2"/>
  <c r="F51" i="2"/>
  <c r="F49" i="2"/>
  <c r="F47" i="2"/>
  <c r="F46" i="2"/>
  <c r="F42" i="2"/>
  <c r="F41" i="2"/>
  <c r="F38" i="2"/>
  <c r="F30" i="2"/>
  <c r="F29" i="2"/>
  <c r="F28" i="2"/>
  <c r="F27" i="2"/>
  <c r="F26" i="2"/>
  <c r="F22" i="2"/>
  <c r="F19" i="2"/>
  <c r="F16" i="2"/>
  <c r="F14" i="2"/>
  <c r="F13" i="2"/>
  <c r="F12" i="2"/>
  <c r="F9" i="2"/>
  <c r="F8" i="2"/>
  <c r="F86" i="2"/>
  <c r="F75" i="2"/>
  <c r="F74" i="2"/>
  <c r="F62" i="2"/>
  <c r="F61" i="2"/>
  <c r="F57" i="2"/>
  <c r="F55" i="2"/>
  <c r="F52" i="2"/>
  <c r="F50" i="2"/>
  <c r="F48" i="2"/>
  <c r="F45" i="2"/>
  <c r="F44" i="2"/>
  <c r="F43" i="2"/>
  <c r="F39" i="2"/>
  <c r="F37" i="2"/>
  <c r="F36" i="2"/>
  <c r="F35" i="2"/>
  <c r="F34" i="2"/>
  <c r="F32" i="2"/>
  <c r="F25" i="2"/>
  <c r="F21" i="2"/>
  <c r="F7" i="2"/>
  <c r="F6" i="2"/>
  <c r="F20" i="2" l="1"/>
  <c r="F31" i="2"/>
  <c r="F11" i="2"/>
  <c r="F23" i="2"/>
  <c r="F33" i="2"/>
  <c r="F40" i="2"/>
  <c r="F68" i="2"/>
  <c r="F24" i="2"/>
  <c r="F59" i="2"/>
  <c r="F10" i="2"/>
  <c r="F15" i="2"/>
  <c r="F87" i="2" l="1"/>
</calcChain>
</file>

<file path=xl/sharedStrings.xml><?xml version="1.0" encoding="utf-8"?>
<sst xmlns="http://schemas.openxmlformats.org/spreadsheetml/2006/main" count="92" uniqueCount="92">
  <si>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</si>
  <si>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</si>
  <si>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</si>
  <si>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</si>
  <si>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</si>
  <si>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</si>
  <si>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</si>
  <si>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</si>
  <si>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</si>
  <si>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</si>
  <si>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</si>
  <si>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</si>
  <si>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</si>
  <si>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</si>
  <si>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</si>
  <si>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</si>
  <si>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</si>
  <si>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</si>
  <si>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</si>
  <si>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</si>
  <si>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</si>
  <si>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</si>
  <si>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</si>
  <si>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</si>
  <si>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</si>
  <si>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</si>
  <si>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</si>
  <si>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</si>
  <si>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</si>
  <si>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</si>
  <si>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</si>
  <si>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</si>
  <si>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</si>
  <si>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</si>
  <si>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</si>
  <si>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</si>
  <si>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</si>
  <si>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</si>
  <si>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</si>
  <si>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</si>
  <si>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</si>
  <si>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</si>
  <si>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</si>
  <si>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</si>
  <si>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</si>
  <si>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</si>
  <si>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</si>
  <si>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</si>
  <si>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</si>
  <si>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</si>
  <si>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</si>
  <si>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</si>
  <si>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</si>
  <si>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</si>
  <si>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</si>
  <si>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</si>
  <si>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</si>
  <si>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</si>
  <si>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</si>
  <si>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</si>
  <si>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</si>
  <si>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</si>
  <si>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Casa del Adulto Mayor</t>
  </si>
  <si>
    <t>Fiscalía General del Estado de Michoacán</t>
  </si>
  <si>
    <t>Instituto de Planeación del Estado de Michoacán</t>
  </si>
  <si>
    <t>Traspasos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</si>
  <si>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</si>
  <si>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</si>
  <si>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</si>
  <si>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</si>
  <si>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</si>
  <si>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</si>
  <si>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</si>
  <si>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</si>
  <si>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</si>
  <si>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</si>
  <si>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Instituto Registral y Catastral del Estado de Michoacán de Ocampo</t>
  </si>
  <si>
    <t>Congreso del Estado de Michoacán de Ocampo</t>
  </si>
  <si>
    <t xml:space="preserve">Supremo Tribunal de Justicia </t>
  </si>
  <si>
    <t>Secretaría del Bienestar</t>
  </si>
  <si>
    <t>Secretaría de Desarrollo Urbano y Movilidad</t>
  </si>
  <si>
    <t>Secretaría de Medio Ambiente</t>
  </si>
  <si>
    <t>Servicios de Salud de Michoacán</t>
  </si>
  <si>
    <t>Ejecutivo del Estado</t>
  </si>
  <si>
    <t>Centro de Conciliación Laboral del Estado de Michoacán de Ocampo</t>
  </si>
  <si>
    <t>Secretaría de Agricultura y Desarrollo Rural</t>
  </si>
  <si>
    <t>Centro Estatal para el Desarrollo Municipal</t>
  </si>
  <si>
    <t>Consejo Económico y Social del Estado de Michoacán</t>
  </si>
  <si>
    <t>Instituto de Educación Media Superior y Superior del Estado de Michoacán</t>
  </si>
  <si>
    <t>Servicio de Administración Tributaria del Estado de Michoacán</t>
  </si>
  <si>
    <t>Instituto del Transporte del Estado de Michoacán de Ocampo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</si>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</sst>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Gibson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3" fontId="3" fillId="0" borderId="3" xfId="1" applyNumberFormat="1" applyFont="1" applyFill="1" applyBorder="1" applyAlignment="1">
      <alignment horizontal="justify" wrapText="1"/>
    </xf>
    <xf numFmtId="4" fontId="4" fillId="0" borderId="1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wrapText="1"/>
    </xf>
    <xf numFmtId="3" fontId="3" fillId="0" borderId="3" xfId="2" applyNumberFormat="1" applyFont="1" applyFill="1" applyBorder="1" applyAlignment="1">
      <alignment vertical="center" wrapText="1"/>
    </xf>
    <xf numFmtId="3" fontId="3" fillId="0" borderId="2" xfId="2" applyNumberFormat="1" applyFont="1" applyFill="1" applyBorder="1" applyAlignment="1">
      <alignment vertical="center" wrapText="1"/>
    </xf>
    <xf numFmtId="43" fontId="7" fillId="0" borderId="0" xfId="1" applyFont="1" applyAlignment="1">
      <alignment horizontal="justify" wrapText="1"/>
    </xf>
    <xf numFmtId="43" fontId="8" fillId="0" borderId="0" xfId="0" applyNumberFormat="1" applyFont="1" applyAlignment="1">
      <alignment horizontal="justify" wrapText="1"/>
    </xf>
    <xf numFmtId="43" fontId="0" fillId="0" borderId="0" xfId="0" applyNumberFormat="1" applyAlignment="1">
      <alignment horizontal="justify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37" fontId="2" fillId="2" borderId="0" xfId="0" applyNumberFormat="1" applyFont="1" applyFill="1" applyAlignment="1">
      <alignment horizontal="center" wrapText="1"/>
    </xf>
    <xf numFmtId="43" fontId="9" fillId="3" borderId="6" xfId="1" applyFont="1" applyFill="1" applyBorder="1" applyAlignment="1">
      <alignment horizontal="center" vertical="center" wrapText="1"/>
    </xf>
    <xf numFmtId="43" fontId="9" fillId="3" borderId="8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43" fontId="9" fillId="3" borderId="10" xfId="1" applyFont="1" applyFill="1" applyBorder="1" applyAlignment="1">
      <alignment horizontal="center" vertical="center" wrapText="1"/>
    </xf>
    <xf numFmtId="43" fontId="9" fillId="3" borderId="7" xfId="1" applyFont="1" applyFill="1" applyBorder="1" applyAlignment="1">
      <alignment horizontal="center" vertical="center" wrapText="1"/>
    </xf>
    <xf numFmtId="43" fontId="9" fillId="3" borderId="5" xfId="1" applyFont="1" applyFill="1" applyBorder="1" applyAlignment="1">
      <alignment horizontal="center" vertical="center" wrapText="1"/>
    </xf>
    <xf numFmtId="37" fontId="10" fillId="0" borderId="0" xfId="0" applyNumberFormat="1" applyFont="1" applyAlignment="1">
      <alignment horizontal="center" wrapText="1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showGridLines="0" tabSelected="1" zoomScale="140" zoomScaleNormal="140" workbookViewId="0">
      <pane xSplit="1" ySplit="5" topLeftCell="B69" activePane="bottomRight" state="frozen"/>
      <selection pane="topRight" activeCell="B1" sqref="B1"/>
      <selection pane="bottomLeft" activeCell="A7" sqref="A7"/>
      <selection pane="bottomRight" sqref="A1:F87"/>
    </sheetView>
  </sheetViews>
  <sheetFormatPr baseColWidth="10" defaultColWidth="11.42578125" defaultRowHeight="15"/>
  <cols>
    <col min="1" max="1" width="55.85546875" style="1" customWidth="1"/>
    <col min="2" max="3" width="16.7109375" style="1" bestFit="1" customWidth="1"/>
    <col min="4" max="4" width="15.5703125" style="1" bestFit="1" customWidth="1"/>
    <col min="5" max="5" width="12.28515625" style="1" bestFit="1" customWidth="1"/>
    <col min="6" max="6" width="17.7109375" style="1" bestFit="1" customWidth="1"/>
    <col min="7" max="7" width="0.85546875" style="1" customWidth="1"/>
    <col min="8" max="8" width="1.85546875" style="1" customWidth="1"/>
    <col min="9" max="16384" width="11.42578125" style="1"/>
  </cols>
  <sheetData>
    <row r="1" spans="1:6">
      <c r="A1" s="22" t="s">
        <v>5</v>
      </c>
      <c r="B1" s="22"/>
      <c r="C1" s="22"/>
      <c r="D1" s="22"/>
      <c r="E1" s="22"/>
      <c r="F1" s="22"/>
    </row>
    <row r="2" spans="1:6">
      <c r="A2" s="15" t="s">
        <v>54</v>
      </c>
      <c r="B2" s="15"/>
      <c r="C2" s="15"/>
      <c r="D2" s="15"/>
      <c r="E2" s="15"/>
      <c r="F2" s="15"/>
    </row>
    <row r="3" spans="1:6" ht="15.75" thickBot="1">
      <c r="A3" s="15" t="s">
        <v>91</v>
      </c>
      <c r="B3" s="15"/>
      <c r="C3" s="15"/>
      <c r="D3" s="15"/>
      <c r="E3" s="15"/>
      <c r="F3" s="15"/>
    </row>
    <row r="4" spans="1:6" ht="15.75" thickBot="1">
      <c r="A4" s="16" t="s">
        <v>53</v>
      </c>
      <c r="B4" s="17" t="s">
        <v>0</v>
      </c>
      <c r="C4" s="18"/>
      <c r="D4" s="18"/>
      <c r="E4" s="18"/>
      <c r="F4" s="19"/>
    </row>
    <row r="5" spans="1:6" ht="15.75" thickBot="1">
      <c r="A5" s="20"/>
      <c r="B5" s="21" t="s">
        <v>1</v>
      </c>
      <c r="C5" s="21" t="s">
        <v>2</v>
      </c>
      <c r="D5" s="21" t="s">
        <v>3</v>
      </c>
      <c r="E5" s="21" t="s">
        <v>65</v>
      </c>
      <c r="F5" s="21" t="s">
        <v>4</v>
      </c>
    </row>
    <row r="6" spans="1:6">
      <c r="A6" s="3" t="s">
        <v>77</v>
      </c>
      <c r="B6" s="4">
        <v>1322715433</v>
      </c>
      <c r="C6" s="4">
        <v>0</v>
      </c>
      <c r="D6" s="5">
        <v>0</v>
      </c>
      <c r="E6" s="5">
        <v>0</v>
      </c>
      <c r="F6" s="4">
        <f>B6+C6-D6+E6</f>
        <v>1322715433</v>
      </c>
    </row>
    <row r="7" spans="1:6">
      <c r="A7" s="3" t="s">
        <v>78</v>
      </c>
      <c r="B7" s="5">
        <v>1671869671</v>
      </c>
      <c r="C7" s="5">
        <v>0</v>
      </c>
      <c r="D7" s="5">
        <v>0</v>
      </c>
      <c r="E7" s="5">
        <v>0</v>
      </c>
      <c r="F7" s="5">
        <f t="shared" ref="F7:F63" si="0">B7+C7-D7+E7</f>
        <v>1671869671</v>
      </c>
    </row>
    <row r="8" spans="1:6">
      <c r="A8" s="3" t="s">
        <v>83</v>
      </c>
      <c r="B8" s="5">
        <v>330161646</v>
      </c>
      <c r="C8" s="5">
        <f>33010420</f>
        <v>33010420</v>
      </c>
      <c r="D8" s="5">
        <v>0</v>
      </c>
      <c r="E8" s="5">
        <f>5801782.13-25059918.85</f>
        <v>-19258136.720000003</v>
      </c>
      <c r="F8" s="5">
        <f t="shared" si="0"/>
        <v>343913929.27999997</v>
      </c>
    </row>
    <row r="9" spans="1:6">
      <c r="A9" s="3" t="s">
        <v>6</v>
      </c>
      <c r="B9" s="5">
        <v>916300502</v>
      </c>
      <c r="C9" s="5">
        <f>26526656.95+18998557.89</f>
        <v>45525214.840000004</v>
      </c>
      <c r="D9" s="5">
        <v>0</v>
      </c>
      <c r="E9" s="5">
        <f>49742191.33-128545864.47</f>
        <v>-78803673.140000001</v>
      </c>
      <c r="F9" s="5">
        <f t="shared" si="0"/>
        <v>883022043.70000005</v>
      </c>
    </row>
    <row r="10" spans="1:6">
      <c r="A10" s="3" t="s">
        <v>7</v>
      </c>
      <c r="B10" s="5">
        <v>1660286029</v>
      </c>
      <c r="C10" s="5">
        <f>4861079.99+2283626+10136155.1+584928.38</f>
        <v>17865789.469999999</v>
      </c>
      <c r="D10" s="5">
        <v>0</v>
      </c>
      <c r="E10" s="5">
        <f>1167561024.92-347825103.14</f>
        <v>819735921.78000009</v>
      </c>
      <c r="F10" s="5">
        <f t="shared" si="0"/>
        <v>2497887740.25</v>
      </c>
    </row>
    <row r="11" spans="1:6">
      <c r="A11" s="3" t="s">
        <v>8</v>
      </c>
      <c r="B11" s="5">
        <v>3592328259</v>
      </c>
      <c r="C11" s="5">
        <f>445893556.65+40422098.59+73390437.91+8803075.98+178928.16</f>
        <v>568688097.28999996</v>
      </c>
      <c r="D11" s="5">
        <v>46846314</v>
      </c>
      <c r="E11" s="5">
        <f>323467167.12-248657404.65</f>
        <v>74809762.469999999</v>
      </c>
      <c r="F11" s="5">
        <f t="shared" si="0"/>
        <v>4188979804.7599998</v>
      </c>
    </row>
    <row r="12" spans="1:6">
      <c r="A12" s="3" t="s">
        <v>85</v>
      </c>
      <c r="B12" s="5">
        <v>702773561</v>
      </c>
      <c r="C12" s="5">
        <f>6124672.56</f>
        <v>6124672.5599999996</v>
      </c>
      <c r="D12" s="5">
        <v>0</v>
      </c>
      <c r="E12" s="5">
        <f>99435970.03-219127622.69</f>
        <v>-119691652.66</v>
      </c>
      <c r="F12" s="5">
        <f t="shared" si="0"/>
        <v>589206580.89999998</v>
      </c>
    </row>
    <row r="13" spans="1:6">
      <c r="A13" s="3" t="s">
        <v>9</v>
      </c>
      <c r="B13" s="5">
        <v>238074303</v>
      </c>
      <c r="C13" s="5">
        <v>3500000</v>
      </c>
      <c r="D13" s="5">
        <v>44618.04</v>
      </c>
      <c r="E13" s="5">
        <f>9515924.52-16567015.38</f>
        <v>-7051090.8600000013</v>
      </c>
      <c r="F13" s="5">
        <f t="shared" si="0"/>
        <v>234478594.09999999</v>
      </c>
    </row>
    <row r="14" spans="1:6">
      <c r="A14" s="3" t="s">
        <v>10</v>
      </c>
      <c r="B14" s="5">
        <v>266911425</v>
      </c>
      <c r="C14" s="5">
        <f>6125611.11+43911165.84+2667854.77</f>
        <v>52704631.720000006</v>
      </c>
      <c r="D14" s="5">
        <v>0</v>
      </c>
      <c r="E14" s="5">
        <f>6198613.82-25171893.74</f>
        <v>-18973279.919999998</v>
      </c>
      <c r="F14" s="5">
        <f t="shared" si="0"/>
        <v>300642776.80000001</v>
      </c>
    </row>
    <row r="15" spans="1:6">
      <c r="A15" s="3" t="s">
        <v>11</v>
      </c>
      <c r="B15" s="5">
        <v>29498373510</v>
      </c>
      <c r="C15" s="5">
        <f>400000+4795162240.89+400000+45162440</f>
        <v>4841124680.8900003</v>
      </c>
      <c r="D15" s="5">
        <v>0</v>
      </c>
      <c r="E15" s="5">
        <f>735951716.56-251206645.96</f>
        <v>484745070.5999999</v>
      </c>
      <c r="F15" s="5">
        <f t="shared" si="0"/>
        <v>34824243261.489998</v>
      </c>
    </row>
    <row r="16" spans="1:6">
      <c r="A16" s="3" t="s">
        <v>12</v>
      </c>
      <c r="B16" s="5">
        <v>45717973</v>
      </c>
      <c r="C16" s="5">
        <f>1125844.72</f>
        <v>1125844.72</v>
      </c>
      <c r="D16" s="5">
        <v>0</v>
      </c>
      <c r="E16" s="5">
        <f>1007768.81-4732018.98</f>
        <v>-3724250.1700000004</v>
      </c>
      <c r="F16" s="5">
        <f t="shared" si="0"/>
        <v>43119567.549999997</v>
      </c>
    </row>
    <row r="17" spans="1:6">
      <c r="A17" s="3" t="s">
        <v>13</v>
      </c>
      <c r="B17" s="5">
        <v>4034684191</v>
      </c>
      <c r="C17" s="5">
        <f>231938383.79+1252000</f>
        <v>233190383.78999999</v>
      </c>
      <c r="D17" s="5">
        <v>0</v>
      </c>
      <c r="E17" s="5">
        <f>810162991.25-465693560.72</f>
        <v>344469430.52999997</v>
      </c>
      <c r="F17" s="5">
        <f t="shared" si="0"/>
        <v>4612344005.3199997</v>
      </c>
    </row>
    <row r="18" spans="1:6">
      <c r="A18" s="3" t="s">
        <v>82</v>
      </c>
      <c r="B18" s="5">
        <v>9360204179</v>
      </c>
      <c r="C18" s="5">
        <f>1761082707.77+301499429.18</f>
        <v>2062582136.95</v>
      </c>
      <c r="D18" s="5">
        <v>833246884.64999998</v>
      </c>
      <c r="E18" s="5">
        <v>0</v>
      </c>
      <c r="F18" s="5">
        <f t="shared" si="0"/>
        <v>10589539431.300001</v>
      </c>
    </row>
    <row r="19" spans="1:6">
      <c r="A19" s="3" t="s">
        <v>14</v>
      </c>
      <c r="B19" s="5">
        <v>173929965</v>
      </c>
      <c r="C19" s="5">
        <f>2742885.12</f>
        <v>2742885.12</v>
      </c>
      <c r="D19" s="5">
        <v>0</v>
      </c>
      <c r="E19" s="5">
        <f>1773358.6-16902876.18</f>
        <v>-15129517.58</v>
      </c>
      <c r="F19" s="5">
        <f t="shared" si="0"/>
        <v>161543332.53999999</v>
      </c>
    </row>
    <row r="20" spans="1:6">
      <c r="A20" s="3" t="s">
        <v>79</v>
      </c>
      <c r="B20" s="5">
        <v>277831939</v>
      </c>
      <c r="C20" s="5">
        <f>89361152.54</f>
        <v>89361152.540000007</v>
      </c>
      <c r="D20" s="5">
        <v>0</v>
      </c>
      <c r="E20" s="5">
        <f>140509053.2-140159564.29</f>
        <v>349488.90999999642</v>
      </c>
      <c r="F20" s="5">
        <f t="shared" si="0"/>
        <v>367542580.45000005</v>
      </c>
    </row>
    <row r="21" spans="1:6">
      <c r="A21" s="3" t="s">
        <v>15</v>
      </c>
      <c r="B21" s="5">
        <v>257341142</v>
      </c>
      <c r="C21" s="5">
        <f>87410+3246244+18028946</f>
        <v>21362600</v>
      </c>
      <c r="D21" s="5">
        <v>53097.33</v>
      </c>
      <c r="E21" s="5">
        <f>3833571.27-14732165.76</f>
        <v>-10898594.49</v>
      </c>
      <c r="F21" s="5">
        <f t="shared" si="0"/>
        <v>267752050.18000001</v>
      </c>
    </row>
    <row r="22" spans="1:6">
      <c r="A22" s="3" t="s">
        <v>16</v>
      </c>
      <c r="B22" s="5">
        <v>1488754594</v>
      </c>
      <c r="C22" s="5">
        <f>180455158.63</f>
        <v>180455158.63</v>
      </c>
      <c r="D22" s="5">
        <v>0</v>
      </c>
      <c r="E22" s="5">
        <v>-608909940.73000002</v>
      </c>
      <c r="F22" s="5">
        <f t="shared" si="0"/>
        <v>1060299811.9000001</v>
      </c>
    </row>
    <row r="23" spans="1:6">
      <c r="A23" s="3" t="s">
        <v>17</v>
      </c>
      <c r="B23" s="5">
        <v>17425487200</v>
      </c>
      <c r="C23" s="5">
        <f>315146627.56+62591512+2440911.89+959566.72</f>
        <v>381138618.17000002</v>
      </c>
      <c r="D23" s="5">
        <v>0</v>
      </c>
      <c r="E23" s="5">
        <f>185001.2-91582040.35</f>
        <v>-91397039.149999991</v>
      </c>
      <c r="F23" s="5">
        <f t="shared" si="0"/>
        <v>17715228779.019997</v>
      </c>
    </row>
    <row r="24" spans="1:6">
      <c r="A24" s="3" t="s">
        <v>59</v>
      </c>
      <c r="B24" s="5">
        <v>50894608</v>
      </c>
      <c r="C24" s="5">
        <f>842420601.38+1601841309.01+8208000</f>
        <v>2452469910.3899999</v>
      </c>
      <c r="D24" s="5">
        <f>403037255.66+2558537510.27</f>
        <v>2961574765.9299998</v>
      </c>
      <c r="E24" s="5">
        <f>3420154203.16-2953735955.62</f>
        <v>466418247.53999996</v>
      </c>
      <c r="F24" s="5">
        <f t="shared" si="0"/>
        <v>8208000</v>
      </c>
    </row>
    <row r="25" spans="1:6">
      <c r="A25" s="3" t="s">
        <v>18</v>
      </c>
      <c r="B25" s="5">
        <v>3686544221</v>
      </c>
      <c r="C25" s="5">
        <f>325256.49</f>
        <v>325256.49</v>
      </c>
      <c r="D25" s="5">
        <v>1753248</v>
      </c>
      <c r="E25" s="5">
        <f>2100469998.27-3027441702.73</f>
        <v>-926971704.46000004</v>
      </c>
      <c r="F25" s="5">
        <f t="shared" si="0"/>
        <v>2758144525.0299997</v>
      </c>
    </row>
    <row r="26" spans="1:6">
      <c r="A26" s="3" t="s">
        <v>19</v>
      </c>
      <c r="B26" s="5">
        <v>65123064</v>
      </c>
      <c r="C26" s="5">
        <v>0</v>
      </c>
      <c r="D26" s="5">
        <v>0</v>
      </c>
      <c r="E26" s="5">
        <f>3032810-4250916.68</f>
        <v>-1218106.6799999997</v>
      </c>
      <c r="F26" s="5">
        <f t="shared" si="0"/>
        <v>63904957.32</v>
      </c>
    </row>
    <row r="27" spans="1:6">
      <c r="A27" s="3" t="s">
        <v>20</v>
      </c>
      <c r="B27" s="5">
        <v>1157606938</v>
      </c>
      <c r="C27" s="5">
        <f>63379879.16+39363568.75+390368.4+186.67</f>
        <v>103134002.98</v>
      </c>
      <c r="D27" s="5">
        <v>0</v>
      </c>
      <c r="E27" s="5">
        <f>863406.53-159559414.12</f>
        <v>-158696007.59</v>
      </c>
      <c r="F27" s="5">
        <f t="shared" si="0"/>
        <v>1102044933.3900001</v>
      </c>
    </row>
    <row r="28" spans="1:6">
      <c r="A28" s="6" t="s">
        <v>21</v>
      </c>
      <c r="B28" s="5">
        <v>69520410</v>
      </c>
      <c r="C28" s="5">
        <f>4380000</f>
        <v>4380000</v>
      </c>
      <c r="D28" s="5">
        <v>0</v>
      </c>
      <c r="E28" s="5">
        <f>3167304.38-5784234.39</f>
        <v>-2616930.0099999998</v>
      </c>
      <c r="F28" s="5">
        <f t="shared" si="0"/>
        <v>71283479.989999995</v>
      </c>
    </row>
    <row r="29" spans="1:6">
      <c r="A29" s="6" t="s">
        <v>22</v>
      </c>
      <c r="B29" s="5">
        <v>91488693</v>
      </c>
      <c r="C29" s="5">
        <v>0</v>
      </c>
      <c r="D29" s="5">
        <v>0</v>
      </c>
      <c r="E29" s="5">
        <f>3307217.47-5974489.95</f>
        <v>-2667272.48</v>
      </c>
      <c r="F29" s="5">
        <f t="shared" si="0"/>
        <v>88821420.519999996</v>
      </c>
    </row>
    <row r="30" spans="1:6">
      <c r="A30" s="6" t="s">
        <v>23</v>
      </c>
      <c r="B30" s="5">
        <v>31896156</v>
      </c>
      <c r="C30" s="5">
        <v>0</v>
      </c>
      <c r="D30" s="5">
        <v>0</v>
      </c>
      <c r="E30" s="5">
        <f>679891.17-1329702.93</f>
        <v>-649811.75999999989</v>
      </c>
      <c r="F30" s="5">
        <f t="shared" si="0"/>
        <v>31246344.239999998</v>
      </c>
    </row>
    <row r="31" spans="1:6">
      <c r="A31" s="6" t="s">
        <v>24</v>
      </c>
      <c r="B31" s="5">
        <v>56721759</v>
      </c>
      <c r="C31" s="5">
        <f>3500000</f>
        <v>3500000</v>
      </c>
      <c r="D31" s="5">
        <v>0</v>
      </c>
      <c r="E31" s="5">
        <f>1315720.45-3670020.4</f>
        <v>-2354299.9500000002</v>
      </c>
      <c r="F31" s="5">
        <f t="shared" si="0"/>
        <v>57867459.049999997</v>
      </c>
    </row>
    <row r="32" spans="1:6">
      <c r="A32" s="6" t="s">
        <v>25</v>
      </c>
      <c r="B32" s="5">
        <v>3706917122</v>
      </c>
      <c r="C32" s="5">
        <f>74725941.54+230618454</f>
        <v>305344395.54000002</v>
      </c>
      <c r="D32" s="5">
        <v>0</v>
      </c>
      <c r="E32" s="5">
        <v>0</v>
      </c>
      <c r="F32" s="5">
        <f t="shared" si="0"/>
        <v>4012261517.54</v>
      </c>
    </row>
    <row r="33" spans="1:6">
      <c r="A33" s="6" t="s">
        <v>26</v>
      </c>
      <c r="B33" s="5">
        <v>1164471477</v>
      </c>
      <c r="C33" s="5">
        <f>19341865.25+2483830.35</f>
        <v>21825695.600000001</v>
      </c>
      <c r="D33" s="5">
        <v>0</v>
      </c>
      <c r="E33" s="5">
        <f>28098218.6-41331792.84</f>
        <v>-13233574.240000002</v>
      </c>
      <c r="F33" s="5">
        <f t="shared" si="0"/>
        <v>1173063598.3599999</v>
      </c>
    </row>
    <row r="34" spans="1:6">
      <c r="A34" s="6" t="s">
        <v>27</v>
      </c>
      <c r="B34" s="5">
        <v>700000000</v>
      </c>
      <c r="C34" s="5">
        <v>70000000</v>
      </c>
      <c r="D34" s="5">
        <v>0</v>
      </c>
      <c r="E34" s="5">
        <v>-32107837.75</v>
      </c>
      <c r="F34" s="5">
        <f t="shared" si="0"/>
        <v>737892162.25</v>
      </c>
    </row>
    <row r="35" spans="1:6">
      <c r="A35" s="6" t="s">
        <v>28</v>
      </c>
      <c r="B35" s="5">
        <v>107004357</v>
      </c>
      <c r="C35" s="5">
        <v>0</v>
      </c>
      <c r="D35" s="5">
        <v>0</v>
      </c>
      <c r="E35" s="5">
        <v>0</v>
      </c>
      <c r="F35" s="5">
        <f t="shared" si="0"/>
        <v>107004357</v>
      </c>
    </row>
    <row r="36" spans="1:6">
      <c r="A36" s="6" t="s">
        <v>29</v>
      </c>
      <c r="B36" s="5">
        <v>148141193</v>
      </c>
      <c r="C36" s="5">
        <v>0</v>
      </c>
      <c r="D36" s="5">
        <v>0</v>
      </c>
      <c r="E36" s="5">
        <v>-294194.86</v>
      </c>
      <c r="F36" s="5">
        <f t="shared" si="0"/>
        <v>147846998.13999999</v>
      </c>
    </row>
    <row r="37" spans="1:6">
      <c r="A37" s="6" t="s">
        <v>30</v>
      </c>
      <c r="B37" s="5">
        <v>19256068</v>
      </c>
      <c r="C37" s="5">
        <f>2058825.92</f>
        <v>2058825.92</v>
      </c>
      <c r="D37" s="5">
        <v>0</v>
      </c>
      <c r="E37" s="5">
        <v>0</v>
      </c>
      <c r="F37" s="5">
        <f t="shared" si="0"/>
        <v>21314893.920000002</v>
      </c>
    </row>
    <row r="38" spans="1:6">
      <c r="A38" s="6" t="s">
        <v>66</v>
      </c>
      <c r="B38" s="5">
        <v>15308661</v>
      </c>
      <c r="C38" s="5">
        <v>0</v>
      </c>
      <c r="D38" s="5">
        <v>0</v>
      </c>
      <c r="E38" s="5">
        <f>242190.5-956027.74</f>
        <v>-713837.24</v>
      </c>
      <c r="F38" s="5">
        <f t="shared" si="0"/>
        <v>14594823.76</v>
      </c>
    </row>
    <row r="39" spans="1:6">
      <c r="A39" s="6" t="s">
        <v>31</v>
      </c>
      <c r="B39" s="5">
        <v>201725662</v>
      </c>
      <c r="C39" s="5">
        <f>31256027.87</f>
        <v>31256027.870000001</v>
      </c>
      <c r="D39" s="5">
        <v>0</v>
      </c>
      <c r="E39" s="5">
        <v>-0.5</v>
      </c>
      <c r="F39" s="5">
        <f t="shared" si="0"/>
        <v>232981689.37</v>
      </c>
    </row>
    <row r="40" spans="1:6">
      <c r="A40" s="6" t="s">
        <v>32</v>
      </c>
      <c r="B40" s="5">
        <v>43432178</v>
      </c>
      <c r="C40" s="5">
        <v>0</v>
      </c>
      <c r="D40" s="5">
        <v>0</v>
      </c>
      <c r="E40" s="5">
        <f>577834.38-1625109.1</f>
        <v>-1047274.7200000001</v>
      </c>
      <c r="F40" s="5">
        <f t="shared" si="0"/>
        <v>42384903.280000001</v>
      </c>
    </row>
    <row r="41" spans="1:6">
      <c r="A41" s="6" t="s">
        <v>33</v>
      </c>
      <c r="B41" s="5">
        <v>175877064</v>
      </c>
      <c r="C41" s="5">
        <f>1896000+7045794</f>
        <v>8941794</v>
      </c>
      <c r="D41" s="5">
        <v>0</v>
      </c>
      <c r="E41" s="5">
        <f>5912051.7-7015214.98</f>
        <v>-1103163.2800000003</v>
      </c>
      <c r="F41" s="5">
        <f t="shared" si="0"/>
        <v>183715694.72</v>
      </c>
    </row>
    <row r="42" spans="1:6">
      <c r="A42" s="6" t="s">
        <v>34</v>
      </c>
      <c r="B42" s="5">
        <v>82935476</v>
      </c>
      <c r="C42" s="5">
        <f>30683425.22</f>
        <v>30683425.219999999</v>
      </c>
      <c r="D42" s="5">
        <v>0</v>
      </c>
      <c r="E42" s="5">
        <f>14859400.99-6253804.13</f>
        <v>8605596.8599999994</v>
      </c>
      <c r="F42" s="5">
        <f t="shared" si="0"/>
        <v>122224498.08</v>
      </c>
    </row>
    <row r="43" spans="1:6">
      <c r="A43" s="6" t="s">
        <v>35</v>
      </c>
      <c r="B43" s="5">
        <v>1485507162</v>
      </c>
      <c r="C43" s="5">
        <f>61793884+61793884</f>
        <v>123587768</v>
      </c>
      <c r="D43" s="5">
        <v>0</v>
      </c>
      <c r="E43" s="5">
        <v>0</v>
      </c>
      <c r="F43" s="5">
        <f t="shared" si="0"/>
        <v>1609094930</v>
      </c>
    </row>
    <row r="44" spans="1:6">
      <c r="A44" s="6" t="s">
        <v>36</v>
      </c>
      <c r="B44" s="5">
        <v>353370540</v>
      </c>
      <c r="C44" s="5">
        <f>43704207.6+67083770.31</f>
        <v>110787977.91</v>
      </c>
      <c r="D44" s="5">
        <v>0</v>
      </c>
      <c r="E44" s="5">
        <v>0</v>
      </c>
      <c r="F44" s="5">
        <f t="shared" si="0"/>
        <v>464158517.90999997</v>
      </c>
    </row>
    <row r="45" spans="1:6">
      <c r="A45" s="6" t="s">
        <v>37</v>
      </c>
      <c r="B45" s="5">
        <v>87293931</v>
      </c>
      <c r="C45" s="5">
        <f>37341982+11145470.84</f>
        <v>48487452.840000004</v>
      </c>
      <c r="D45" s="5">
        <v>0</v>
      </c>
      <c r="E45" s="5">
        <f>649472</f>
        <v>649472</v>
      </c>
      <c r="F45" s="5">
        <f t="shared" si="0"/>
        <v>136430855.84</v>
      </c>
    </row>
    <row r="46" spans="1:6">
      <c r="A46" s="6" t="s">
        <v>38</v>
      </c>
      <c r="B46" s="5">
        <v>1089740464</v>
      </c>
      <c r="C46" s="5">
        <f>72843661+225121967.13</f>
        <v>297965628.13</v>
      </c>
      <c r="D46" s="5">
        <v>0</v>
      </c>
      <c r="E46" s="5">
        <v>0</v>
      </c>
      <c r="F46" s="5">
        <f t="shared" si="0"/>
        <v>1387706092.1300001</v>
      </c>
    </row>
    <row r="47" spans="1:6">
      <c r="A47" s="6" t="s">
        <v>39</v>
      </c>
      <c r="B47" s="5">
        <v>240487334</v>
      </c>
      <c r="C47" s="5">
        <f>34850835+67522804.96</f>
        <v>102373639.95999999</v>
      </c>
      <c r="D47" s="5">
        <v>0</v>
      </c>
      <c r="E47" s="5">
        <v>0</v>
      </c>
      <c r="F47" s="5">
        <f t="shared" si="0"/>
        <v>342860973.95999998</v>
      </c>
    </row>
    <row r="48" spans="1:6">
      <c r="A48" s="6" t="s">
        <v>40</v>
      </c>
      <c r="B48" s="5">
        <v>96903854</v>
      </c>
      <c r="C48" s="5">
        <f>54696+744000</f>
        <v>798696</v>
      </c>
      <c r="D48" s="5">
        <v>4114321</v>
      </c>
      <c r="E48" s="5">
        <v>-1597418</v>
      </c>
      <c r="F48" s="5">
        <f t="shared" si="0"/>
        <v>91990811</v>
      </c>
    </row>
    <row r="49" spans="1:6">
      <c r="A49" s="6" t="s">
        <v>41</v>
      </c>
      <c r="B49" s="5">
        <v>16314506</v>
      </c>
      <c r="C49" s="5">
        <v>0</v>
      </c>
      <c r="D49" s="5">
        <v>0</v>
      </c>
      <c r="E49" s="5">
        <f>85245.97-1029812.47</f>
        <v>-944566.5</v>
      </c>
      <c r="F49" s="5">
        <f t="shared" si="0"/>
        <v>15369939.5</v>
      </c>
    </row>
    <row r="50" spans="1:6">
      <c r="A50" s="6" t="s">
        <v>42</v>
      </c>
      <c r="B50" s="5">
        <v>54882406</v>
      </c>
      <c r="C50" s="5">
        <f>9892420+7065344.14</f>
        <v>16957764.140000001</v>
      </c>
      <c r="D50" s="5">
        <v>3012188</v>
      </c>
      <c r="E50" s="5">
        <v>-1</v>
      </c>
      <c r="F50" s="5">
        <f t="shared" si="0"/>
        <v>68827981.140000001</v>
      </c>
    </row>
    <row r="51" spans="1:6">
      <c r="A51" s="6" t="s">
        <v>67</v>
      </c>
      <c r="B51" s="5">
        <v>24787913</v>
      </c>
      <c r="C51" s="5">
        <f>1240015.8</f>
        <v>1240015.8</v>
      </c>
      <c r="D51" s="5">
        <v>0</v>
      </c>
      <c r="E51" s="5">
        <f>759001.02-1356329.82</f>
        <v>-597328.80000000005</v>
      </c>
      <c r="F51" s="5">
        <f t="shared" si="0"/>
        <v>25430600</v>
      </c>
    </row>
    <row r="52" spans="1:6">
      <c r="A52" s="6" t="s">
        <v>43</v>
      </c>
      <c r="B52" s="5">
        <v>5498392</v>
      </c>
      <c r="C52" s="5">
        <f>597932.8</f>
        <v>597932.80000000005</v>
      </c>
      <c r="D52" s="5">
        <v>0</v>
      </c>
      <c r="E52" s="5">
        <f>-1001</f>
        <v>-1001</v>
      </c>
      <c r="F52" s="5">
        <f t="shared" si="0"/>
        <v>6095323.7999999998</v>
      </c>
    </row>
    <row r="53" spans="1:6">
      <c r="A53" s="6" t="s">
        <v>68</v>
      </c>
      <c r="B53" s="5">
        <v>73400359</v>
      </c>
      <c r="C53" s="5">
        <f>5775357.96</f>
        <v>5775357.96</v>
      </c>
      <c r="D53" s="5">
        <v>0</v>
      </c>
      <c r="E53" s="5">
        <f>1247737.43-1984807.73</f>
        <v>-737070.3</v>
      </c>
      <c r="F53" s="5">
        <f t="shared" si="0"/>
        <v>78438646.659999996</v>
      </c>
    </row>
    <row r="54" spans="1:6">
      <c r="A54" s="6" t="s">
        <v>69</v>
      </c>
      <c r="B54" s="5">
        <v>12837772</v>
      </c>
      <c r="C54" s="5">
        <f>964117</f>
        <v>964117</v>
      </c>
      <c r="D54" s="5">
        <v>0</v>
      </c>
      <c r="E54" s="5">
        <f>108345.75-325518.91</f>
        <v>-217173.15999999997</v>
      </c>
      <c r="F54" s="5">
        <f t="shared" si="0"/>
        <v>13584715.84</v>
      </c>
    </row>
    <row r="55" spans="1:6">
      <c r="A55" s="6" t="s">
        <v>74</v>
      </c>
      <c r="B55" s="5">
        <v>108805145</v>
      </c>
      <c r="C55" s="5">
        <v>0</v>
      </c>
      <c r="D55" s="5">
        <v>0</v>
      </c>
      <c r="E55" s="5">
        <v>0</v>
      </c>
      <c r="F55" s="5">
        <f t="shared" si="0"/>
        <v>108805145</v>
      </c>
    </row>
    <row r="56" spans="1:6">
      <c r="A56" s="6" t="s">
        <v>70</v>
      </c>
      <c r="B56" s="5">
        <v>27750718</v>
      </c>
      <c r="C56" s="5">
        <v>0</v>
      </c>
      <c r="D56" s="5">
        <v>0</v>
      </c>
      <c r="E56" s="5">
        <f>1563077.92-2098675.24</f>
        <v>-535597.3200000003</v>
      </c>
      <c r="F56" s="5">
        <f t="shared" si="0"/>
        <v>27215120.68</v>
      </c>
    </row>
    <row r="57" spans="1:6" ht="22.5">
      <c r="A57" s="6" t="s">
        <v>44</v>
      </c>
      <c r="B57" s="5">
        <v>46240695</v>
      </c>
      <c r="C57" s="5">
        <v>0</v>
      </c>
      <c r="D57" s="5">
        <v>0</v>
      </c>
      <c r="E57" s="5">
        <v>0</v>
      </c>
      <c r="F57" s="5">
        <f t="shared" si="0"/>
        <v>46240695</v>
      </c>
    </row>
    <row r="58" spans="1:6">
      <c r="A58" s="6" t="s">
        <v>64</v>
      </c>
      <c r="B58" s="5">
        <v>73726492</v>
      </c>
      <c r="C58" s="5">
        <f>2250000</f>
        <v>2250000</v>
      </c>
      <c r="D58" s="5">
        <v>0</v>
      </c>
      <c r="E58" s="5">
        <f>9505184.38-11962291.55</f>
        <v>-2457107.17</v>
      </c>
      <c r="F58" s="5">
        <f t="shared" si="0"/>
        <v>73519384.829999998</v>
      </c>
    </row>
    <row r="59" spans="1:6">
      <c r="A59" s="6" t="s">
        <v>45</v>
      </c>
      <c r="B59" s="5">
        <v>598179471</v>
      </c>
      <c r="C59" s="5">
        <f>1959991.91+64313217.53+110000000+44376519.98</f>
        <v>220649729.41999999</v>
      </c>
      <c r="D59" s="5">
        <f>49321209.4+5484062.34</f>
        <v>54805271.739999995</v>
      </c>
      <c r="E59" s="5">
        <f>2216811.11-4822841.1</f>
        <v>-2606029.9899999998</v>
      </c>
      <c r="F59" s="5">
        <f t="shared" si="0"/>
        <v>761417898.68999994</v>
      </c>
    </row>
    <row r="60" spans="1:6">
      <c r="A60" s="6" t="s">
        <v>46</v>
      </c>
      <c r="B60" s="5">
        <v>29251056</v>
      </c>
      <c r="C60" s="5">
        <v>0</v>
      </c>
      <c r="D60" s="5">
        <v>0</v>
      </c>
      <c r="E60" s="5">
        <f>1334149.94-3311709.8</f>
        <v>-1977559.8599999999</v>
      </c>
      <c r="F60" s="5">
        <f t="shared" si="0"/>
        <v>27273496.140000001</v>
      </c>
    </row>
    <row r="61" spans="1:6">
      <c r="A61" s="6" t="s">
        <v>47</v>
      </c>
      <c r="B61" s="5">
        <v>11424716</v>
      </c>
      <c r="C61" s="5">
        <f>350764+4942793.62</f>
        <v>5293557.62</v>
      </c>
      <c r="D61" s="5">
        <f>365833</f>
        <v>365833</v>
      </c>
      <c r="E61" s="5">
        <v>0</v>
      </c>
      <c r="F61" s="5">
        <f t="shared" si="0"/>
        <v>16352440.620000001</v>
      </c>
    </row>
    <row r="62" spans="1:6">
      <c r="A62" s="6" t="s">
        <v>60</v>
      </c>
      <c r="B62" s="5">
        <v>13160384</v>
      </c>
      <c r="C62" s="5">
        <f>743333+6884266.09</f>
        <v>7627599.0899999999</v>
      </c>
      <c r="D62" s="5">
        <v>959946</v>
      </c>
      <c r="E62" s="5">
        <v>-959946</v>
      </c>
      <c r="F62" s="5">
        <f t="shared" si="0"/>
        <v>18868091.09</v>
      </c>
    </row>
    <row r="63" spans="1:6">
      <c r="A63" s="6" t="s">
        <v>48</v>
      </c>
      <c r="B63" s="5">
        <v>114451733</v>
      </c>
      <c r="C63" s="5">
        <v>0</v>
      </c>
      <c r="D63" s="5">
        <v>0</v>
      </c>
      <c r="E63" s="5">
        <f>3757463.18-12267878.66</f>
        <v>-8510415.4800000004</v>
      </c>
      <c r="F63" s="5">
        <f t="shared" si="0"/>
        <v>105941317.52</v>
      </c>
    </row>
    <row r="64" spans="1:6" ht="22.5">
      <c r="A64" s="8" t="s">
        <v>75</v>
      </c>
      <c r="B64" s="5">
        <v>40037124</v>
      </c>
      <c r="C64" s="5">
        <v>0</v>
      </c>
      <c r="D64" s="5">
        <v>0</v>
      </c>
      <c r="E64" s="5">
        <f>657219.6-1766043.06</f>
        <v>-1108823.46</v>
      </c>
      <c r="F64" s="5">
        <f t="shared" ref="F64:F86" si="1">B64+C64-D64+E64</f>
        <v>38928300.539999999</v>
      </c>
    </row>
    <row r="65" spans="1:6">
      <c r="A65" s="6" t="s">
        <v>49</v>
      </c>
      <c r="B65" s="5">
        <v>66613695</v>
      </c>
      <c r="C65" s="5">
        <f>3507124.59</f>
        <v>3507124.59</v>
      </c>
      <c r="D65" s="5">
        <v>0</v>
      </c>
      <c r="E65" s="5">
        <f>10032539.03-9073561.68</f>
        <v>958977.34999999963</v>
      </c>
      <c r="F65" s="5">
        <f t="shared" si="1"/>
        <v>71079796.939999998</v>
      </c>
    </row>
    <row r="66" spans="1:6">
      <c r="A66" s="6" t="s">
        <v>71</v>
      </c>
      <c r="B66" s="5">
        <v>25660374</v>
      </c>
      <c r="C66" s="5">
        <v>0</v>
      </c>
      <c r="D66" s="5">
        <v>0</v>
      </c>
      <c r="E66" s="5">
        <f>1705186.1-2680745.32</f>
        <v>-975559.21999999974</v>
      </c>
      <c r="F66" s="5">
        <f t="shared" si="1"/>
        <v>24684814.780000001</v>
      </c>
    </row>
    <row r="67" spans="1:6">
      <c r="A67" s="6" t="s">
        <v>50</v>
      </c>
      <c r="B67" s="5">
        <v>60768616</v>
      </c>
      <c r="C67" s="5">
        <v>0</v>
      </c>
      <c r="D67" s="5">
        <v>0</v>
      </c>
      <c r="E67" s="5">
        <f>14708313.06-9374443.06</f>
        <v>5333870</v>
      </c>
      <c r="F67" s="5">
        <f t="shared" si="1"/>
        <v>66102486</v>
      </c>
    </row>
    <row r="68" spans="1:6">
      <c r="A68" s="6" t="s">
        <v>58</v>
      </c>
      <c r="B68" s="5">
        <v>38782704</v>
      </c>
      <c r="C68" s="5">
        <v>0</v>
      </c>
      <c r="D68" s="5">
        <v>0</v>
      </c>
      <c r="E68" s="5">
        <f>361690.04-3170684.25</f>
        <v>-2808994.21</v>
      </c>
      <c r="F68" s="5">
        <f t="shared" si="1"/>
        <v>35973709.789999999</v>
      </c>
    </row>
    <row r="69" spans="1:6">
      <c r="A69" s="6" t="s">
        <v>51</v>
      </c>
      <c r="B69" s="5">
        <v>65306806</v>
      </c>
      <c r="C69" s="5">
        <f>40942114.51+250030</f>
        <v>41192144.509999998</v>
      </c>
      <c r="D69" s="5">
        <v>0</v>
      </c>
      <c r="E69" s="5">
        <f>673242.19-10263379.36</f>
        <v>-9590137.1699999999</v>
      </c>
      <c r="F69" s="5">
        <f t="shared" si="1"/>
        <v>96908813.339999989</v>
      </c>
    </row>
    <row r="70" spans="1:6" ht="22.5">
      <c r="A70" s="6" t="s">
        <v>72</v>
      </c>
      <c r="B70" s="5">
        <v>12094797</v>
      </c>
      <c r="C70" s="5">
        <f>23723707.72</f>
        <v>23723707.719999999</v>
      </c>
      <c r="D70" s="5">
        <v>0</v>
      </c>
      <c r="E70" s="5">
        <f>1101231.16-1104267.66</f>
        <v>-3036.5</v>
      </c>
      <c r="F70" s="5">
        <f t="shared" si="1"/>
        <v>35815468.219999999</v>
      </c>
    </row>
    <row r="71" spans="1:6" ht="22.5">
      <c r="A71" s="8" t="s">
        <v>57</v>
      </c>
      <c r="B71" s="5">
        <v>10743575</v>
      </c>
      <c r="C71" s="5">
        <v>0</v>
      </c>
      <c r="D71" s="5">
        <v>0</v>
      </c>
      <c r="E71" s="5">
        <f>118185.76-597247.88</f>
        <v>-479062.12</v>
      </c>
      <c r="F71" s="5">
        <f t="shared" si="1"/>
        <v>10264512.880000001</v>
      </c>
    </row>
    <row r="72" spans="1:6">
      <c r="A72" s="8" t="s">
        <v>52</v>
      </c>
      <c r="B72" s="5">
        <v>12633811</v>
      </c>
      <c r="C72" s="5">
        <v>0</v>
      </c>
      <c r="D72" s="5">
        <v>0</v>
      </c>
      <c r="E72" s="5">
        <f>126909.82-419069.21</f>
        <v>-292159.39</v>
      </c>
      <c r="F72" s="5">
        <f t="shared" si="1"/>
        <v>12341651.609999999</v>
      </c>
    </row>
    <row r="73" spans="1:6" ht="15" customHeight="1">
      <c r="A73" s="8" t="s">
        <v>56</v>
      </c>
      <c r="B73" s="5">
        <v>1485442757</v>
      </c>
      <c r="C73" s="5">
        <f>50000000</f>
        <v>50000000</v>
      </c>
      <c r="D73" s="5">
        <v>0</v>
      </c>
      <c r="E73" s="5">
        <f>108483356.63-86090898.66</f>
        <v>22392457.969999999</v>
      </c>
      <c r="F73" s="5">
        <f t="shared" si="1"/>
        <v>1557835214.97</v>
      </c>
    </row>
    <row r="74" spans="1:6">
      <c r="A74" s="8" t="s">
        <v>73</v>
      </c>
      <c r="B74" s="5">
        <v>10581906</v>
      </c>
      <c r="C74" s="5">
        <f>3343508+3343508</f>
        <v>6687016</v>
      </c>
      <c r="D74" s="5">
        <v>0</v>
      </c>
      <c r="E74" s="5">
        <v>0</v>
      </c>
      <c r="F74" s="5">
        <f t="shared" si="1"/>
        <v>17268922</v>
      </c>
    </row>
    <row r="75" spans="1:6">
      <c r="A75" s="8" t="s">
        <v>61</v>
      </c>
      <c r="B75" s="5">
        <v>21713384</v>
      </c>
      <c r="C75" s="5">
        <v>0</v>
      </c>
      <c r="D75" s="5">
        <v>0</v>
      </c>
      <c r="E75" s="5">
        <v>0</v>
      </c>
      <c r="F75" s="5">
        <f t="shared" si="1"/>
        <v>21713384</v>
      </c>
    </row>
    <row r="76" spans="1:6">
      <c r="A76" s="8" t="s">
        <v>62</v>
      </c>
      <c r="B76" s="5">
        <v>3215274</v>
      </c>
      <c r="C76" s="5">
        <v>0</v>
      </c>
      <c r="D76" s="5">
        <v>0</v>
      </c>
      <c r="E76" s="5">
        <f>413425.48-517033.68</f>
        <v>-103608.20000000001</v>
      </c>
      <c r="F76" s="5">
        <f t="shared" si="1"/>
        <v>3111665.8</v>
      </c>
    </row>
    <row r="77" spans="1:6">
      <c r="A77" s="8" t="s">
        <v>76</v>
      </c>
      <c r="B77" s="5">
        <v>200724871</v>
      </c>
      <c r="C77" s="5">
        <f>3160032.69+1053315.58</f>
        <v>4213348.2699999996</v>
      </c>
      <c r="D77" s="5">
        <v>0</v>
      </c>
      <c r="E77" s="5">
        <f>15447312.11-9939325.32</f>
        <v>5507986.7899999991</v>
      </c>
      <c r="F77" s="5">
        <f t="shared" si="1"/>
        <v>210446206.06</v>
      </c>
    </row>
    <row r="78" spans="1:6">
      <c r="A78" s="8" t="s">
        <v>80</v>
      </c>
      <c r="B78" s="5">
        <v>1055910296</v>
      </c>
      <c r="C78" s="5">
        <f>245098874.36+380768296.76</f>
        <v>625867171.12</v>
      </c>
      <c r="D78" s="5">
        <v>0</v>
      </c>
      <c r="E78" s="5">
        <f>4126433.88-19176538.52</f>
        <v>-15050104.640000001</v>
      </c>
      <c r="F78" s="5">
        <f t="shared" si="1"/>
        <v>1666727362.4799998</v>
      </c>
    </row>
    <row r="79" spans="1:6">
      <c r="A79" s="8" t="s">
        <v>81</v>
      </c>
      <c r="B79" s="5">
        <v>92215397</v>
      </c>
      <c r="C79" s="5">
        <f>22941586.66</f>
        <v>22941586.66</v>
      </c>
      <c r="D79" s="5">
        <v>0</v>
      </c>
      <c r="E79" s="5">
        <f>1093779.44-5905326.08</f>
        <v>-4811546.6400000006</v>
      </c>
      <c r="F79" s="5">
        <f t="shared" si="1"/>
        <v>110345437.02</v>
      </c>
    </row>
    <row r="80" spans="1:6">
      <c r="A80" s="8" t="s">
        <v>86</v>
      </c>
      <c r="B80" s="5">
        <v>25715561</v>
      </c>
      <c r="C80" s="5">
        <v>0</v>
      </c>
      <c r="D80" s="5">
        <v>0</v>
      </c>
      <c r="E80" s="5">
        <f>346459.51-1820182.9</f>
        <v>-1473723.39</v>
      </c>
      <c r="F80" s="5">
        <f t="shared" ref="F80" si="2">B80+C80-D80+E80</f>
        <v>24241837.609999999</v>
      </c>
    </row>
    <row r="81" spans="1:6">
      <c r="A81" s="8" t="s">
        <v>88</v>
      </c>
      <c r="B81" s="5">
        <v>427151946</v>
      </c>
      <c r="C81" s="5">
        <f>24724662.1+40038503.15</f>
        <v>64763165.25</v>
      </c>
      <c r="D81" s="5">
        <v>0</v>
      </c>
      <c r="E81" s="5">
        <f>41524707.93-17070565.55</f>
        <v>24454142.379999999</v>
      </c>
      <c r="F81" s="5">
        <f t="shared" si="1"/>
        <v>516369253.63</v>
      </c>
    </row>
    <row r="82" spans="1:6">
      <c r="A82" s="8" t="s">
        <v>84</v>
      </c>
      <c r="B82" s="5">
        <v>36458554</v>
      </c>
      <c r="C82" s="5">
        <v>0</v>
      </c>
      <c r="D82" s="5">
        <v>0</v>
      </c>
      <c r="E82" s="5">
        <f>1873808.53-3371840.87</f>
        <v>-1498032.34</v>
      </c>
      <c r="F82" s="5">
        <f t="shared" si="1"/>
        <v>34960521.659999996</v>
      </c>
    </row>
    <row r="83" spans="1:6">
      <c r="A83" s="8" t="s">
        <v>87</v>
      </c>
      <c r="B83" s="5">
        <v>7100000</v>
      </c>
      <c r="C83" s="5">
        <v>0</v>
      </c>
      <c r="D83" s="5">
        <v>0</v>
      </c>
      <c r="E83" s="5">
        <v>0</v>
      </c>
      <c r="F83" s="5">
        <f t="shared" si="1"/>
        <v>7100000</v>
      </c>
    </row>
    <row r="84" spans="1:6">
      <c r="A84" s="8" t="s">
        <v>89</v>
      </c>
      <c r="B84" s="5">
        <v>731561609</v>
      </c>
      <c r="C84" s="5">
        <f>118445293.51</f>
        <v>118445293.51000001</v>
      </c>
      <c r="D84" s="5">
        <v>0</v>
      </c>
      <c r="E84" s="5">
        <f>61182892.42-146435743.3</f>
        <v>-85252850.88000001</v>
      </c>
      <c r="F84" s="5">
        <f t="shared" si="1"/>
        <v>764754051.63</v>
      </c>
    </row>
    <row r="85" spans="1:6">
      <c r="A85" s="8" t="s">
        <v>90</v>
      </c>
      <c r="B85" s="5">
        <v>72256940</v>
      </c>
      <c r="C85" s="5">
        <f>2146198.61</f>
        <v>2146198.61</v>
      </c>
      <c r="D85" s="5">
        <v>0</v>
      </c>
      <c r="E85" s="5">
        <f>6312698.88-2643080.38</f>
        <v>3669618.5</v>
      </c>
      <c r="F85" s="5">
        <f t="shared" si="1"/>
        <v>78072757.109999999</v>
      </c>
    </row>
    <row r="86" spans="1:6" ht="15.75" thickBot="1">
      <c r="A86" s="9" t="s">
        <v>63</v>
      </c>
      <c r="B86" s="7">
        <v>1566662656</v>
      </c>
      <c r="C86" s="7">
        <f>618048</f>
        <v>618048</v>
      </c>
      <c r="D86" s="7">
        <v>0</v>
      </c>
      <c r="E86" s="7">
        <v>0</v>
      </c>
      <c r="F86" s="7">
        <f t="shared" si="1"/>
        <v>1567280704</v>
      </c>
    </row>
    <row r="87" spans="1:6" ht="15.75" thickBot="1">
      <c r="A87" s="21" t="s">
        <v>55</v>
      </c>
      <c r="B87" s="21">
        <f>SUM(B6:B86)</f>
        <v>95471978325</v>
      </c>
      <c r="C87" s="21">
        <f>SUM(C6:C86)</f>
        <v>13483883661.609999</v>
      </c>
      <c r="D87" s="21">
        <f>SUM(D6:D86)</f>
        <v>3906776487.6899996</v>
      </c>
      <c r="E87" s="21">
        <f>SUM(E6:E86)</f>
        <v>2.384185791015625E-7</v>
      </c>
      <c r="F87" s="21">
        <f>SUM(F6:F86)</f>
        <v>105049085498.92003</v>
      </c>
    </row>
    <row r="88" spans="1:6">
      <c r="A88" s="13"/>
      <c r="B88" s="14"/>
      <c r="C88" s="14"/>
      <c r="D88" s="2"/>
    </row>
    <row r="89" spans="1:6">
      <c r="C89" s="11"/>
      <c r="F89" s="10"/>
    </row>
    <row r="90" spans="1:6">
      <c r="C90" s="11"/>
      <c r="F90" s="12"/>
    </row>
    <row r="91" spans="1:6">
      <c r="C91" s="12"/>
    </row>
  </sheetData>
  <mergeCells count="6">
    <mergeCell ref="A88:C88"/>
    <mergeCell ref="A1:F1"/>
    <mergeCell ref="A2:F2"/>
    <mergeCell ref="A3:F3"/>
    <mergeCell ref="A4:A5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</vt:lpstr>
      <vt:lpstr>'CUADRO '!Área_de_impresión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Eduardo Cortés Jaramillo</cp:lastModifiedBy>
  <cp:lastPrinted>2025-02-07T23:55:20Z</cp:lastPrinted>
  <dcterms:created xsi:type="dcterms:W3CDTF">2017-04-10T23:52:00Z</dcterms:created>
  <dcterms:modified xsi:type="dcterms:W3CDTF">2025-02-07T23:56:32Z</dcterms:modified>
</cp:coreProperties>
</file>